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E 2020.03.13\Gmina Piaski (lubelskie)\gaz ‡ przetarg\"/>
    </mc:Choice>
  </mc:AlternateContent>
  <xr:revisionPtr revIDLastSave="0" documentId="13_ncr:1_{7A704138-4129-43CC-A836-20E4E4AFFE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Arkusz1!$A$4:$AA$11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7" i="1" l="1"/>
  <c r="V7" i="1"/>
  <c r="T7" i="1"/>
  <c r="P7" i="1"/>
  <c r="N7" i="1"/>
  <c r="Z6" i="1"/>
  <c r="V6" i="1"/>
  <c r="T6" i="1"/>
  <c r="R6" i="1"/>
  <c r="P6" i="1"/>
  <c r="N6" i="1"/>
  <c r="Z8" i="1"/>
  <c r="V8" i="1"/>
  <c r="P8" i="1"/>
  <c r="N8" i="1"/>
  <c r="Z5" i="1"/>
  <c r="V5" i="1"/>
  <c r="P5" i="1"/>
  <c r="N5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X6" i="1" l="1"/>
  <c r="Y6" i="1" s="1"/>
  <c r="R7" i="1"/>
  <c r="X7" i="1" s="1"/>
  <c r="Y7" i="1" s="1"/>
  <c r="W7" i="1"/>
  <c r="W6" i="1"/>
  <c r="R8" i="1"/>
  <c r="R5" i="1"/>
  <c r="T5" i="1"/>
  <c r="W5" i="1" s="1"/>
  <c r="T8" i="1"/>
  <c r="W8" i="1" s="1"/>
  <c r="X8" i="1" l="1"/>
  <c r="Y8" i="1" s="1"/>
  <c r="X5" i="1"/>
  <c r="Y5" i="1" s="1"/>
  <c r="X9" i="1" l="1"/>
  <c r="Y9" i="1"/>
</calcChain>
</file>

<file path=xl/sharedStrings.xml><?xml version="1.0" encoding="utf-8"?>
<sst xmlns="http://schemas.openxmlformats.org/spreadsheetml/2006/main" count="63" uniqueCount="50">
  <si>
    <t>Liczba punktów poboru</t>
  </si>
  <si>
    <t>Liczba miesięcy</t>
  </si>
  <si>
    <t>Liczba dni</t>
  </si>
  <si>
    <t>Oddział dystrybucji</t>
  </si>
  <si>
    <t>nd.</t>
  </si>
  <si>
    <t>SUMA:</t>
  </si>
  <si>
    <r>
      <t xml:space="preserve">Stawka opłaty zmiennej 
</t>
    </r>
    <r>
      <rPr>
        <sz val="9"/>
        <rFont val="Calibri"/>
        <family val="2"/>
        <charset val="238"/>
        <scheme val="minor"/>
      </rPr>
      <t>[gr/kWh]</t>
    </r>
  </si>
  <si>
    <r>
      <t xml:space="preserve">Moc umowna
</t>
    </r>
    <r>
      <rPr>
        <sz val="9"/>
        <rFont val="Calibri"/>
        <family val="2"/>
        <charset val="238"/>
        <scheme val="minor"/>
      </rPr>
      <t>[kWh/h]</t>
    </r>
  </si>
  <si>
    <r>
      <rPr>
        <b/>
        <sz val="9"/>
        <rFont val="Calibri"/>
        <family val="2"/>
        <charset val="238"/>
        <scheme val="minor"/>
      </rPr>
      <t>Szacunkowe zapotrzebowanie na paliwo gazowe łącznie</t>
    </r>
    <r>
      <rPr>
        <sz val="9"/>
        <rFont val="Calibri"/>
        <family val="2"/>
        <charset val="238"/>
        <scheme val="minor"/>
      </rPr>
      <t xml:space="preserve"> 
[kWh]</t>
    </r>
  </si>
  <si>
    <t>Cena za paliwo gazowe [zł netto]</t>
  </si>
  <si>
    <t>Cena za usługi dystrybucyjne [zł netto]**</t>
  </si>
  <si>
    <t>CENA OFERTY 
[zł netto]</t>
  </si>
  <si>
    <t>CENA OFERTY 
[zł brutto]</t>
  </si>
  <si>
    <t>PSG Sp. z o.o. - Tarnów</t>
  </si>
  <si>
    <t>W-3.6_TA</t>
  </si>
  <si>
    <t>W-4_TA</t>
  </si>
  <si>
    <t>W-5.1_TA</t>
  </si>
  <si>
    <t>Załącznik nr 3 do SWZ - Formularz cenowy</t>
  </si>
  <si>
    <t>W-2.1_TA</t>
  </si>
  <si>
    <r>
      <t xml:space="preserve">*Stawkę podatku akcyzowego 1,38 zł/GJ, która ma zastosowanie dla części zużycia paliwa gazowego przeznaczonej na cele opałowe (z wyłączeniem celów objętych zwolnieniem), przeliczono na gr/kWh zgodnie z obowiązującymi zasadami [Art. 89 ust. 1 pkt 13 oraz Art. 88 ust. 7 pkt 4 lit. a </t>
    </r>
    <r>
      <rPr>
        <i/>
        <sz val="12"/>
        <rFont val="Calibri"/>
        <family val="2"/>
        <charset val="238"/>
        <scheme val="minor"/>
      </rPr>
      <t>Ustawy o podatku akcyzowym</t>
    </r>
    <r>
      <rPr>
        <sz val="12"/>
        <rFont val="Calibri"/>
        <family val="2"/>
        <charset val="238"/>
        <scheme val="minor"/>
      </rPr>
      <t>] oraz przyjmując wartość ciepła spalania 39,5 MJ/m3.</t>
    </r>
  </si>
  <si>
    <t>Stawka podatku VAT</t>
  </si>
  <si>
    <t>Okres dostawy</t>
  </si>
  <si>
    <t>Grupa taryfowa OSD</t>
  </si>
  <si>
    <t>Grupa taryfowa sprzedawcy</t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</si>
  <si>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</si>
  <si>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 objęte ochroną taryfową,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</si>
  <si>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zwolnione z akcyzy</t>
    </r>
    <r>
      <rPr>
        <sz val="9"/>
        <rFont val="Calibri"/>
        <family val="2"/>
        <charset val="238"/>
        <scheme val="minor"/>
      </rPr>
      <t xml:space="preserve"> 
[kWh]</t>
    </r>
  </si>
  <si>
    <r>
      <rPr>
        <b/>
        <sz val="9"/>
        <rFont val="Calibri"/>
        <family val="2"/>
        <charset val="238"/>
        <scheme val="minor"/>
      </rPr>
      <t>Szacunkowe zapotrzebowanie na paliwo gazowe, którego nie obejmuje ochrona taryfowa, opodatkowane akcyzą 1,38 zł/GJ</t>
    </r>
    <r>
      <rPr>
        <sz val="9"/>
        <rFont val="Calibri"/>
        <family val="2"/>
        <charset val="238"/>
        <scheme val="minor"/>
      </rPr>
      <t xml:space="preserve">
[kWh]</t>
    </r>
  </si>
  <si>
    <r>
      <rPr>
        <b/>
        <sz val="9"/>
        <rFont val="Calibri"/>
        <family val="2"/>
        <charset val="238"/>
        <scheme val="minor"/>
      </rPr>
      <t xml:space="preserve">Cena jednostkowa za paliwo gazowe, którego nie obejmuje ochrona taryfowa,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</si>
  <si>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r>
      <t xml:space="preserve">Cena jednostkowa za paliwo gazowe, którego nie obejmuje ochrona taryfowa, z akcyzą 1,38 zł/GJ*
</t>
    </r>
    <r>
      <rPr>
        <sz val="9"/>
        <rFont val="Calibri"/>
        <family val="2"/>
        <charset val="238"/>
        <scheme val="minor"/>
      </rPr>
      <t>[gr/kWh]
(kol. 15 + 0,39)</t>
    </r>
  </si>
  <si>
    <r>
      <rPr>
        <b/>
        <sz val="9"/>
        <rFont val="Calibri"/>
        <family val="2"/>
        <charset val="238"/>
        <scheme val="minor"/>
      </rPr>
      <t>Opłata handlowa</t>
    </r>
    <r>
      <rPr>
        <sz val="9"/>
        <rFont val="Calibri"/>
        <family val="2"/>
        <charset val="238"/>
        <scheme val="minor"/>
      </rPr>
      <t xml:space="preserve">
[zł/PPG/mc]
</t>
    </r>
    <r>
      <rPr>
        <i/>
        <sz val="9"/>
        <rFont val="Calibri"/>
        <family val="2"/>
        <charset val="238"/>
        <scheme val="minor"/>
      </rPr>
      <t>(z dokładnością do 2 miejsc po przecinku)</t>
    </r>
  </si>
  <si>
    <r>
      <rPr>
        <b/>
        <sz val="9"/>
        <rFont val="Calibri"/>
        <family val="2"/>
        <charset val="238"/>
        <scheme val="minor"/>
      </rPr>
      <t>Łączny koszt paliwa gazowego</t>
    </r>
    <r>
      <rPr>
        <sz val="9"/>
        <rFont val="Calibri"/>
        <family val="2"/>
        <charset val="238"/>
        <scheme val="minor"/>
      </rPr>
      <t xml:space="preserve"> (zł)
(kol. 5 × kol. 13) /100 + (kol. 6 × kol. 14) /100 + (kol. 7 × kol. 15) /100 + (kol. 8 × kol. 16) /100 + (kol. 3 × kol. 10 × kol. 17)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</si>
  <si>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 xml:space="preserve">Stawka opłaty stałej </t>
    </r>
    <r>
      <rPr>
        <sz val="9"/>
        <rFont val="Calibri"/>
        <family val="2"/>
        <charset val="238"/>
        <scheme val="minor"/>
      </rPr>
      <t xml:space="preserve">
a) [zł/mc] 
dla grup taryfowych z ozn. 
W-1, W-2, W-3, W-4
b) [gr/(kWh/h) za h]
dla grup taryfowych z ozn. 
W-5, W-6</t>
    </r>
  </si>
  <si>
    <r>
      <rPr>
        <b/>
        <sz val="9"/>
        <rFont val="Calibri"/>
        <family val="2"/>
        <charset val="238"/>
        <scheme val="minor"/>
      </rPr>
      <t>Łącznie opłata stała</t>
    </r>
    <r>
      <rPr>
        <sz val="9"/>
        <rFont val="Calibri"/>
        <family val="2"/>
        <charset val="238"/>
        <scheme val="minor"/>
      </rPr>
      <t xml:space="preserve"> (zł)
a) (kol. 3 × kol. 10 × kol. 19) 
dla grup taryfowych z ozn.
W-1, W-2, W-3, W-4
b) (kol. 4 × kol. 11 × 24 h × kol. 19) /100 
dla grup taryfowych z ozn.
W-5, W-6
</t>
    </r>
    <r>
      <rPr>
        <i/>
        <sz val="9"/>
        <rFont val="Calibri"/>
        <family val="2"/>
        <charset val="238"/>
        <scheme val="minor"/>
      </rPr>
      <t xml:space="preserve">
(zaokrąglenie do 2 
miejsc po przecinku)</t>
    </r>
  </si>
  <si>
    <r>
      <rPr>
        <b/>
        <sz val="9"/>
        <rFont val="Calibri"/>
        <family val="2"/>
        <charset val="238"/>
        <scheme val="minor"/>
      </rPr>
      <t>Łącznie opłata zmienna</t>
    </r>
    <r>
      <rPr>
        <sz val="9"/>
        <rFont val="Calibri"/>
        <family val="2"/>
        <charset val="238"/>
        <scheme val="minor"/>
      </rPr>
      <t xml:space="preserve"> (zł)
(kol. 9 × kol. 21) /100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</si>
  <si>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r>
      <rPr>
        <b/>
        <sz val="9"/>
        <rFont val="Calibri"/>
        <family val="2"/>
        <charset val="238"/>
        <scheme val="minor"/>
      </rPr>
      <t>Łączny koszt usługi dystrybucji</t>
    </r>
    <r>
      <rPr>
        <sz val="9"/>
        <rFont val="Calibri"/>
        <family val="2"/>
        <charset val="238"/>
        <scheme val="minor"/>
      </rPr>
      <t xml:space="preserve"> (zł)
(kol. 20 + kol. 22)</t>
    </r>
  </si>
  <si>
    <t>(suma kol. 18 
+ kol. 23)</t>
  </si>
  <si>
    <r>
      <t xml:space="preserve">((kol. 24) 
× (1 + kol. 26))
</t>
    </r>
    <r>
      <rPr>
        <i/>
        <sz val="9"/>
        <rFont val="Calibri"/>
        <family val="2"/>
        <charset val="238"/>
        <scheme val="minor"/>
      </rPr>
      <t>(zaokrąglenie do 2 miejsc po przecinku)</t>
    </r>
  </si>
  <si>
    <t>BW-3.6</t>
  </si>
  <si>
    <t>BW-4</t>
  </si>
  <si>
    <t>BW-5</t>
  </si>
  <si>
    <r>
      <t xml:space="preserve">Cena jednostkowa za paliwo gazowe objęte ochroną taryfową**, z akcyzą 1,38 zł/GJ*
</t>
    </r>
    <r>
      <rPr>
        <sz val="9"/>
        <rFont val="Calibri"/>
        <family val="2"/>
        <charset val="238"/>
        <scheme val="minor"/>
      </rPr>
      <t>[gr/kWh]
(kol. 13 + 0,39)</t>
    </r>
  </si>
  <si>
    <r>
      <rPr>
        <b/>
        <sz val="9"/>
        <rFont val="Calibri"/>
        <family val="2"/>
        <charset val="238"/>
        <scheme val="minor"/>
      </rPr>
      <t xml:space="preserve">Cena jednostkowa za paliwo gazowe objęte ochroną taryfową**, bez akcyzy
</t>
    </r>
    <r>
      <rPr>
        <sz val="9"/>
        <rFont val="Calibri"/>
        <family val="2"/>
        <charset val="238"/>
        <scheme val="minor"/>
      </rPr>
      <t xml:space="preserve">[gr/kWh]
</t>
    </r>
    <r>
      <rPr>
        <i/>
        <sz val="9"/>
        <rFont val="Calibri"/>
        <family val="2"/>
        <charset val="238"/>
        <scheme val="minor"/>
      </rPr>
      <t>(z dokładnością
do 3 miejsc 
po przecinku)</t>
    </r>
  </si>
  <si>
    <t>**Rozliczenia kosztów dystrybucji dla wszystkich odbiorców oraz kosztów paliwa gazowego dla odbiorców chronionych będą prowadzone zgodnie z taryfami obowiązującymi w okresie dostawy.</t>
  </si>
  <si>
    <t>Czy dane punkty poboru podlegają pełnej lub częściowej ochronie taryfowej (informacja podana w celu ustalenia wysokości abonamentu/opłaty handlowej w przypadku grup taryfowych BW-2.2, BW-3.6, BW-6):</t>
  </si>
  <si>
    <t>-28-</t>
  </si>
  <si>
    <t>nie dotyczy</t>
  </si>
  <si>
    <t>tak</t>
  </si>
  <si>
    <t>BW-2.1</t>
  </si>
  <si>
    <t>01.01.2023 –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</si>
</sst>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8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tabSelected="1" zoomScale="70" zoomScaleNormal="70" workbookViewId="0">
      <selection activeCell="F18" sqref="F18"/>
    </sheetView>
  </sheetViews>
  <sheetFormatPr defaultRowHeight="14.4" x14ac:dyDescent="0.3"/>
  <cols>
    <col min="1" max="2" width="10.5546875" style="9" customWidth="1"/>
    <col min="3" max="3" width="9.6640625" style="9" customWidth="1"/>
    <col min="4" max="4" width="7.109375" style="9" customWidth="1"/>
    <col min="5" max="8" width="19.6640625" style="9" customWidth="1"/>
    <col min="9" max="9" width="14.109375" style="9" customWidth="1"/>
    <col min="10" max="10" width="10" style="9" customWidth="1"/>
    <col min="11" max="11" width="8.21875" style="9" bestFit="1" customWidth="1"/>
    <col min="12" max="12" width="20.88671875" style="9" customWidth="1"/>
    <col min="13" max="16" width="15.88671875" style="9" customWidth="1"/>
    <col min="17" max="17" width="12.33203125" style="9" customWidth="1"/>
    <col min="18" max="18" width="17.88671875" style="9" customWidth="1"/>
    <col min="19" max="19" width="20" style="9" customWidth="1"/>
    <col min="20" max="20" width="22.109375" style="9" customWidth="1"/>
    <col min="21" max="21" width="12.109375" style="9" customWidth="1"/>
    <col min="22" max="22" width="15.33203125" style="9" customWidth="1"/>
    <col min="23" max="23" width="13.33203125" style="9" customWidth="1"/>
    <col min="24" max="25" width="12.44140625" style="9" customWidth="1"/>
    <col min="26" max="26" width="7.88671875" customWidth="1"/>
    <col min="27" max="27" width="20.33203125" customWidth="1"/>
    <col min="28" max="28" width="26.33203125" customWidth="1"/>
    <col min="29" max="29" width="9.88671875" bestFit="1" customWidth="1"/>
  </cols>
  <sheetData>
    <row r="1" spans="1:28" ht="15.75" customHeight="1" x14ac:dyDescent="0.3">
      <c r="A1" s="26" t="s">
        <v>17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28" ht="24" customHeight="1" x14ac:dyDescent="0.3">
      <c r="A2" s="23" t="s">
        <v>22</v>
      </c>
      <c r="B2" s="28" t="s">
        <v>23</v>
      </c>
      <c r="C2" s="23" t="s">
        <v>0</v>
      </c>
      <c r="D2" s="23" t="s">
        <v>7</v>
      </c>
      <c r="E2" s="24" t="s">
        <v>24</v>
      </c>
      <c r="F2" s="24" t="s">
        <v>25</v>
      </c>
      <c r="G2" s="24" t="s">
        <v>26</v>
      </c>
      <c r="H2" s="24" t="s">
        <v>27</v>
      </c>
      <c r="I2" s="24" t="s">
        <v>8</v>
      </c>
      <c r="J2" s="23" t="s">
        <v>1</v>
      </c>
      <c r="K2" s="23" t="s">
        <v>2</v>
      </c>
      <c r="L2" s="23" t="s">
        <v>3</v>
      </c>
      <c r="M2" s="25" t="s">
        <v>9</v>
      </c>
      <c r="N2" s="25"/>
      <c r="O2" s="25"/>
      <c r="P2" s="25"/>
      <c r="Q2" s="25"/>
      <c r="R2" s="25"/>
      <c r="S2" s="25" t="s">
        <v>10</v>
      </c>
      <c r="T2" s="25"/>
      <c r="U2" s="25"/>
      <c r="V2" s="25"/>
      <c r="W2" s="25"/>
      <c r="X2" s="1" t="s">
        <v>11</v>
      </c>
      <c r="Y2" s="1" t="s">
        <v>12</v>
      </c>
      <c r="Z2" s="1"/>
      <c r="AA2" s="12"/>
      <c r="AB2" s="12"/>
    </row>
    <row r="3" spans="1:28" ht="144" x14ac:dyDescent="0.3">
      <c r="A3" s="23"/>
      <c r="B3" s="29"/>
      <c r="C3" s="23"/>
      <c r="D3" s="23"/>
      <c r="E3" s="24"/>
      <c r="F3" s="24"/>
      <c r="G3" s="24"/>
      <c r="H3" s="24"/>
      <c r="I3" s="24"/>
      <c r="J3" s="23"/>
      <c r="K3" s="23"/>
      <c r="L3" s="23"/>
      <c r="M3" s="17" t="s">
        <v>42</v>
      </c>
      <c r="N3" s="16" t="s">
        <v>41</v>
      </c>
      <c r="O3" s="17" t="s">
        <v>28</v>
      </c>
      <c r="P3" s="16" t="s">
        <v>29</v>
      </c>
      <c r="Q3" s="17" t="s">
        <v>30</v>
      </c>
      <c r="R3" s="17" t="s">
        <v>31</v>
      </c>
      <c r="S3" s="17" t="s">
        <v>32</v>
      </c>
      <c r="T3" s="17" t="s">
        <v>33</v>
      </c>
      <c r="U3" s="16" t="s">
        <v>6</v>
      </c>
      <c r="V3" s="17" t="s">
        <v>34</v>
      </c>
      <c r="W3" s="17" t="s">
        <v>35</v>
      </c>
      <c r="X3" s="17" t="s">
        <v>36</v>
      </c>
      <c r="Y3" s="17" t="s">
        <v>37</v>
      </c>
      <c r="Z3" s="17" t="s">
        <v>20</v>
      </c>
      <c r="AA3" s="13" t="s">
        <v>21</v>
      </c>
      <c r="AB3" s="13" t="s">
        <v>44</v>
      </c>
    </row>
    <row r="4" spans="1:28" ht="12.75" customHeight="1" x14ac:dyDescent="0.3">
      <c r="A4" s="2" t="str">
        <f>"-1-"</f>
        <v>-1-</v>
      </c>
      <c r="B4" s="2" t="str">
        <f>"-2-"</f>
        <v>-2-</v>
      </c>
      <c r="C4" s="2" t="str">
        <f>"-3-"</f>
        <v>-3-</v>
      </c>
      <c r="D4" s="2" t="str">
        <f>"-4-"</f>
        <v>-4-</v>
      </c>
      <c r="E4" s="2" t="str">
        <f>"-5-"</f>
        <v>-5-</v>
      </c>
      <c r="F4" s="2" t="str">
        <f>"-6-"</f>
        <v>-6-</v>
      </c>
      <c r="G4" s="2" t="str">
        <f>"-7-"</f>
        <v>-7-</v>
      </c>
      <c r="H4" s="2" t="str">
        <f>"-8-"</f>
        <v>-8-</v>
      </c>
      <c r="I4" s="2" t="str">
        <f>"-9-"</f>
        <v>-9-</v>
      </c>
      <c r="J4" s="2" t="str">
        <f>"-10-"</f>
        <v>-10-</v>
      </c>
      <c r="K4" s="2" t="str">
        <f>"-11-"</f>
        <v>-11-</v>
      </c>
      <c r="L4" s="2" t="str">
        <f>"-12-"</f>
        <v>-12-</v>
      </c>
      <c r="M4" s="2" t="str">
        <f>"-13-"</f>
        <v>-13-</v>
      </c>
      <c r="N4" s="2" t="str">
        <f>"-14-"</f>
        <v>-14-</v>
      </c>
      <c r="O4" s="2" t="str">
        <f>"-15-"</f>
        <v>-15-</v>
      </c>
      <c r="P4" s="2" t="str">
        <f>"-16-"</f>
        <v>-16-</v>
      </c>
      <c r="Q4" s="2" t="str">
        <f>"-17-"</f>
        <v>-17-</v>
      </c>
      <c r="R4" s="2" t="str">
        <f>"-18-"</f>
        <v>-18-</v>
      </c>
      <c r="S4" s="2" t="str">
        <f>"-19-"</f>
        <v>-19-</v>
      </c>
      <c r="T4" s="2" t="str">
        <f>"-20-"</f>
        <v>-20-</v>
      </c>
      <c r="U4" s="2" t="str">
        <f>"-21-"</f>
        <v>-21-</v>
      </c>
      <c r="V4" s="14" t="str">
        <f>"-22-"</f>
        <v>-22-</v>
      </c>
      <c r="W4" s="2" t="str">
        <f>"-23-"</f>
        <v>-23-</v>
      </c>
      <c r="X4" s="2" t="str">
        <f>"-24-"</f>
        <v>-24-</v>
      </c>
      <c r="Y4" s="2" t="str">
        <f>"-25-"</f>
        <v>-25-</v>
      </c>
      <c r="Z4" s="2" t="str">
        <f>"-26-"</f>
        <v>-26-</v>
      </c>
      <c r="AA4" s="2" t="str">
        <f>"-27-"</f>
        <v>-27-</v>
      </c>
      <c r="AB4" s="2" t="s">
        <v>45</v>
      </c>
    </row>
    <row r="5" spans="1:28" ht="22.2" customHeight="1" x14ac:dyDescent="0.3">
      <c r="A5" s="2" t="s">
        <v>18</v>
      </c>
      <c r="B5" s="2" t="s">
        <v>48</v>
      </c>
      <c r="C5" s="2">
        <v>2</v>
      </c>
      <c r="D5" s="3" t="s">
        <v>4</v>
      </c>
      <c r="E5" s="4">
        <v>15534</v>
      </c>
      <c r="F5" s="4">
        <v>0</v>
      </c>
      <c r="G5" s="4">
        <v>0</v>
      </c>
      <c r="H5" s="4">
        <v>0</v>
      </c>
      <c r="I5" s="4">
        <v>15534</v>
      </c>
      <c r="J5" s="4">
        <v>12</v>
      </c>
      <c r="K5" s="4" t="s">
        <v>4</v>
      </c>
      <c r="L5" s="5" t="s">
        <v>13</v>
      </c>
      <c r="M5" s="18"/>
      <c r="N5" s="6" t="str">
        <f t="shared" ref="N5:P8" si="0">IF(ROUND(M5,3)=0,"",ROUND(M5,3)+0.39)</f>
        <v/>
      </c>
      <c r="O5" s="18"/>
      <c r="P5" s="6" t="str">
        <f t="shared" si="0"/>
        <v/>
      </c>
      <c r="Q5" s="19"/>
      <c r="R5" s="7" t="str">
        <f>IFERROR(IF(ROUND(M5,3)&gt;0,ROUND(E5*ROUND(M5,3)/100+F5*N5/100
+G5*ROUND(O5,3)/100+H5*P5/100
+ROUND(Q5,2)*J5*C5,2),""),"")</f>
        <v/>
      </c>
      <c r="S5" s="8">
        <v>9.0399999999999991</v>
      </c>
      <c r="T5" s="7">
        <f t="shared" ref="T5:T8" si="1">ROUND(IF(D5="nd.",C5*S5*J5,(K5*24*D5*S5)/100),2)</f>
        <v>216.96</v>
      </c>
      <c r="U5" s="8">
        <v>3.91</v>
      </c>
      <c r="V5" s="7">
        <f t="shared" ref="V5:V8" si="2">ROUND(U5*I5/100,2)</f>
        <v>607.38</v>
      </c>
      <c r="W5" s="7">
        <f t="shared" ref="W5:W8" si="3">T5+V5</f>
        <v>824.34</v>
      </c>
      <c r="X5" s="7" t="str">
        <f t="shared" ref="X5:X8" si="4">IF(M5&gt;0,R5+W5,"")</f>
        <v/>
      </c>
      <c r="Y5" s="7" t="str">
        <f t="shared" ref="Y5:Y8" si="5">IF(M5&gt;0,ROUND(X5*(1+Z5),2),"")</f>
        <v/>
      </c>
      <c r="Z5" s="15">
        <f>23%</f>
        <v>0.23</v>
      </c>
      <c r="AA5" s="14" t="s">
        <v>49</v>
      </c>
      <c r="AB5" s="14" t="s">
        <v>46</v>
      </c>
    </row>
    <row r="6" spans="1:28" ht="22.2" customHeight="1" x14ac:dyDescent="0.3">
      <c r="A6" s="2" t="s">
        <v>14</v>
      </c>
      <c r="B6" s="2" t="s">
        <v>38</v>
      </c>
      <c r="C6" s="2">
        <v>2</v>
      </c>
      <c r="D6" s="3" t="s">
        <v>4</v>
      </c>
      <c r="E6" s="4">
        <v>62084</v>
      </c>
      <c r="F6" s="4">
        <v>0</v>
      </c>
      <c r="G6" s="4">
        <v>0</v>
      </c>
      <c r="H6" s="4">
        <v>0</v>
      </c>
      <c r="I6" s="4">
        <v>62084</v>
      </c>
      <c r="J6" s="4">
        <v>12</v>
      </c>
      <c r="K6" s="4" t="s">
        <v>4</v>
      </c>
      <c r="L6" s="5" t="s">
        <v>13</v>
      </c>
      <c r="M6" s="18"/>
      <c r="N6" s="6" t="str">
        <f t="shared" ref="N6:N7" si="6">IF(ROUND(M6,3)=0,"",ROUND(M6,3)+0.39)</f>
        <v/>
      </c>
      <c r="O6" s="18"/>
      <c r="P6" s="6" t="str">
        <f t="shared" ref="P6:P7" si="7">IF(ROUND(O6,3)=0,"",ROUND(O6,3)+0.39)</f>
        <v/>
      </c>
      <c r="Q6" s="19"/>
      <c r="R6" s="7" t="str">
        <f t="shared" ref="R6:R7" si="8">IFERROR(IF(ROUND(M6,3)&gt;0,ROUND(E6*ROUND(M6,3)/100+F6*N6/100
+G6*ROUND(O6,3)/100+H6*P6/100
+ROUND(Q6,2)*J6*C6,2),""),"")</f>
        <v/>
      </c>
      <c r="S6" s="8">
        <v>34.9</v>
      </c>
      <c r="T6" s="7">
        <f t="shared" ref="T6:T7" si="9">ROUND(IF(D6="nd.",C6*S6*J6,(K6*24*D6*S6)/100),2)</f>
        <v>837.6</v>
      </c>
      <c r="U6" s="8">
        <v>2.931</v>
      </c>
      <c r="V6" s="7">
        <f t="shared" ref="V6:V7" si="10">ROUND(U6*I6/100,2)</f>
        <v>1819.68</v>
      </c>
      <c r="W6" s="7">
        <f t="shared" ref="W6:W7" si="11">T6+V6</f>
        <v>2657.28</v>
      </c>
      <c r="X6" s="7" t="str">
        <f t="shared" ref="X6:X7" si="12">IF(M6&gt;0,R6+W6,"")</f>
        <v/>
      </c>
      <c r="Y6" s="7" t="str">
        <f t="shared" ref="Y6:Y7" si="13">IF(M6&gt;0,ROUND(X6*(1+Z6),2),"")</f>
        <v/>
      </c>
      <c r="Z6" s="15">
        <f>23%</f>
        <v>0.23</v>
      </c>
      <c r="AA6" s="14" t="s">
        <v>49</v>
      </c>
      <c r="AB6" s="14" t="s">
        <v>47</v>
      </c>
    </row>
    <row r="7" spans="1:28" ht="22.2" customHeight="1" x14ac:dyDescent="0.3">
      <c r="A7" s="2" t="s">
        <v>15</v>
      </c>
      <c r="B7" s="2" t="s">
        <v>39</v>
      </c>
      <c r="C7" s="2">
        <v>4</v>
      </c>
      <c r="D7" s="3" t="s">
        <v>4</v>
      </c>
      <c r="E7" s="4">
        <v>191112</v>
      </c>
      <c r="F7" s="4">
        <v>0</v>
      </c>
      <c r="G7" s="4">
        <v>352982</v>
      </c>
      <c r="H7" s="4">
        <v>0</v>
      </c>
      <c r="I7" s="4">
        <v>544094</v>
      </c>
      <c r="J7" s="4">
        <v>12</v>
      </c>
      <c r="K7" s="4" t="s">
        <v>4</v>
      </c>
      <c r="L7" s="5" t="s">
        <v>13</v>
      </c>
      <c r="M7" s="18"/>
      <c r="N7" s="6" t="str">
        <f t="shared" si="6"/>
        <v/>
      </c>
      <c r="O7" s="18"/>
      <c r="P7" s="6" t="str">
        <f t="shared" si="7"/>
        <v/>
      </c>
      <c r="Q7" s="19"/>
      <c r="R7" s="7" t="str">
        <f t="shared" si="8"/>
        <v/>
      </c>
      <c r="S7" s="8">
        <v>194.95</v>
      </c>
      <c r="T7" s="7">
        <f t="shared" si="9"/>
        <v>9357.6</v>
      </c>
      <c r="U7" s="8">
        <v>2.8730000000000002</v>
      </c>
      <c r="V7" s="7">
        <f t="shared" si="10"/>
        <v>15631.82</v>
      </c>
      <c r="W7" s="7">
        <f t="shared" si="11"/>
        <v>24989.42</v>
      </c>
      <c r="X7" s="7" t="str">
        <f t="shared" si="12"/>
        <v/>
      </c>
      <c r="Y7" s="7" t="str">
        <f t="shared" si="13"/>
        <v/>
      </c>
      <c r="Z7" s="15">
        <f>23%</f>
        <v>0.23</v>
      </c>
      <c r="AA7" s="14" t="s">
        <v>49</v>
      </c>
      <c r="AB7" s="14" t="s">
        <v>46</v>
      </c>
    </row>
    <row r="8" spans="1:28" ht="22.2" customHeight="1" x14ac:dyDescent="0.3">
      <c r="A8" s="2" t="s">
        <v>16</v>
      </c>
      <c r="B8" s="2" t="s">
        <v>40</v>
      </c>
      <c r="C8" s="2">
        <v>3</v>
      </c>
      <c r="D8" s="3">
        <v>440</v>
      </c>
      <c r="E8" s="4">
        <v>565981</v>
      </c>
      <c r="F8" s="4">
        <v>0</v>
      </c>
      <c r="G8" s="4">
        <v>261405</v>
      </c>
      <c r="H8" s="4">
        <v>0</v>
      </c>
      <c r="I8" s="4">
        <v>827386</v>
      </c>
      <c r="J8" s="4">
        <v>12</v>
      </c>
      <c r="K8" s="4">
        <v>365</v>
      </c>
      <c r="L8" s="5" t="s">
        <v>13</v>
      </c>
      <c r="M8" s="18"/>
      <c r="N8" s="6" t="str">
        <f t="shared" si="0"/>
        <v/>
      </c>
      <c r="O8" s="18"/>
      <c r="P8" s="6" t="str">
        <f t="shared" si="0"/>
        <v/>
      </c>
      <c r="Q8" s="19"/>
      <c r="R8" s="7" t="str">
        <f t="shared" ref="R8" si="14">IFERROR(IF(ROUND(M8,3)&gt;0,ROUND(E8*ROUND(M8,3)/100+F8*N8/100
+G8*ROUND(O8,3)/100+H8*P8/100
+ROUND(Q8,2)*J8*C8,2),""),"")</f>
        <v/>
      </c>
      <c r="S8" s="8">
        <v>0.505</v>
      </c>
      <c r="T8" s="7">
        <f t="shared" si="1"/>
        <v>19464.72</v>
      </c>
      <c r="U8" s="8">
        <v>2.605</v>
      </c>
      <c r="V8" s="7">
        <f t="shared" si="2"/>
        <v>21553.41</v>
      </c>
      <c r="W8" s="7">
        <f t="shared" si="3"/>
        <v>41018.130000000005</v>
      </c>
      <c r="X8" s="7" t="str">
        <f t="shared" si="4"/>
        <v/>
      </c>
      <c r="Y8" s="7" t="str">
        <f t="shared" si="5"/>
        <v/>
      </c>
      <c r="Z8" s="15">
        <f>23%</f>
        <v>0.23</v>
      </c>
      <c r="AA8" s="14" t="s">
        <v>49</v>
      </c>
      <c r="AB8" s="14" t="s">
        <v>46</v>
      </c>
    </row>
    <row r="9" spans="1:28" ht="22.2" customHeight="1" x14ac:dyDescent="0.3">
      <c r="W9" s="11" t="s">
        <v>5</v>
      </c>
      <c r="X9" s="7" t="str">
        <f>IF(SUM(X5:X8)&gt;0,SUM(X5:X8),"")</f>
        <v/>
      </c>
      <c r="Y9" s="7" t="str">
        <f>IF(SUM(Y5:Y8)&gt;0,SUM(Y5:Y8),"")</f>
        <v/>
      </c>
    </row>
    <row r="10" spans="1:28" ht="41.4" customHeight="1" x14ac:dyDescent="0.3">
      <c r="A10" s="20" t="s">
        <v>19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1:28" ht="22.8" customHeight="1" x14ac:dyDescent="0.3">
      <c r="A11" s="20" t="s">
        <v>43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5" spans="1:28" ht="15.6" customHeight="1" x14ac:dyDescent="0.3"/>
    <row r="16" spans="1:28" ht="15.6" customHeight="1" x14ac:dyDescent="0.3"/>
    <row r="36" spans="15:15" x14ac:dyDescent="0.3">
      <c r="O36" s="10"/>
    </row>
  </sheetData>
  <sheetProtection algorithmName="SHA-512" hashValue="N1wYMrVBICYGLzTZdfZPkmfauGAQe+ukO/GzS4n1A/HP7EP93z4X8gn2u7hqoFKfVKY0drhMmU43Zr/7a1x9NA==" saltValue="nrDbfAgQEJJ4poZV0s0wDg==" spinCount="100000" sheet="1" objects="1" scenarios="1"/>
  <protectedRanges>
    <protectedRange sqref="M5:M8" name="Rozstęp3"/>
    <protectedRange sqref="O5:O8" name="Rozstęp1"/>
    <protectedRange sqref="Q5:Q8" name="Rozstęp2"/>
  </protectedRanges>
  <autoFilter ref="A4:AA11" xr:uid="{00000000-0001-0000-0000-000000000000}"/>
  <mergeCells count="17">
    <mergeCell ref="A1:AB1"/>
    <mergeCell ref="S2:W2"/>
    <mergeCell ref="A2:A3"/>
    <mergeCell ref="B2:B3"/>
    <mergeCell ref="C2:C3"/>
    <mergeCell ref="I2:I3"/>
    <mergeCell ref="J2:J3"/>
    <mergeCell ref="K2:K3"/>
    <mergeCell ref="L2:L3"/>
    <mergeCell ref="A10:N10"/>
    <mergeCell ref="A11:N11"/>
    <mergeCell ref="D2:D3"/>
    <mergeCell ref="E2:E3"/>
    <mergeCell ref="F2:F3"/>
    <mergeCell ref="G2:G3"/>
    <mergeCell ref="H2:H3"/>
    <mergeCell ref="M2:R2"/>
  </mergeCells>
  <phoneticPr fontId="7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2022-11-15T12:35:24Z</cp:lastPrinted>
  <dcterms:created xsi:type="dcterms:W3CDTF">2015-06-05T18:19:34Z</dcterms:created>
  <dcterms:modified xsi:type="dcterms:W3CDTF">2022-11-16T12:11:23Z</dcterms:modified>
</cp:coreProperties>
</file>